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480" windowHeight="11640"/>
  </bookViews>
  <sheets>
    <sheet name="Лист2" sheetId="2" r:id="rId1"/>
  </sheets>
  <definedNames>
    <definedName name="_xlnm.Print_Area" localSheetId="0">Лист2!$A$1:$N$70</definedName>
  </definedNames>
  <calcPr calcId="125725"/>
</workbook>
</file>

<file path=xl/calcChain.xml><?xml version="1.0" encoding="utf-8"?>
<calcChain xmlns="http://schemas.openxmlformats.org/spreadsheetml/2006/main">
  <c r="J66" i="2"/>
  <c r="J67"/>
  <c r="H67"/>
  <c r="E67"/>
  <c r="M52"/>
  <c r="M36" l="1"/>
  <c r="N8" l="1"/>
  <c r="N13"/>
  <c r="N15"/>
  <c r="N16"/>
  <c r="N18"/>
  <c r="N19"/>
  <c r="N20"/>
  <c r="N21"/>
  <c r="N22"/>
  <c r="N23"/>
  <c r="N24"/>
  <c r="N25"/>
  <c r="N26"/>
  <c r="N27"/>
  <c r="N28"/>
  <c r="N29"/>
  <c r="N30"/>
  <c r="N33"/>
  <c r="N34"/>
  <c r="N35"/>
  <c r="N39"/>
  <c r="N41"/>
  <c r="N42"/>
  <c r="N48"/>
  <c r="N49"/>
  <c r="N4"/>
  <c r="H66" l="1"/>
  <c r="L38" l="1"/>
  <c r="K38"/>
  <c r="L10" l="1"/>
  <c r="L52" l="1"/>
  <c r="H51" l="1"/>
  <c r="H44"/>
  <c r="G6"/>
  <c r="G9"/>
  <c r="G31"/>
  <c r="G44"/>
  <c r="G51"/>
  <c r="F9"/>
  <c r="F31"/>
  <c r="F51"/>
  <c r="F44"/>
  <c r="D52"/>
  <c r="C52"/>
  <c r="B52"/>
  <c r="E9"/>
  <c r="E47"/>
  <c r="F52" l="1"/>
  <c r="G52"/>
  <c r="I46"/>
  <c r="N46" s="1"/>
  <c r="I12"/>
  <c r="I44"/>
  <c r="N44" s="1"/>
  <c r="I51"/>
  <c r="N51" s="1"/>
  <c r="K50"/>
  <c r="N50" s="1"/>
  <c r="K31"/>
  <c r="K36"/>
  <c r="K47"/>
  <c r="N47" s="1"/>
  <c r="K7"/>
  <c r="K12"/>
  <c r="K44"/>
  <c r="K45"/>
  <c r="N45" s="1"/>
  <c r="K51"/>
  <c r="K9"/>
  <c r="K11"/>
  <c r="N11" s="1"/>
  <c r="K5"/>
  <c r="N5" s="1"/>
  <c r="J51"/>
  <c r="J12"/>
  <c r="J36"/>
  <c r="N36" s="1"/>
  <c r="J37"/>
  <c r="J9"/>
  <c r="N9" s="1"/>
  <c r="J31"/>
  <c r="J44"/>
  <c r="J43"/>
  <c r="N43" s="1"/>
  <c r="J7"/>
  <c r="J38"/>
  <c r="K10" l="1"/>
  <c r="I31"/>
  <c r="N31" s="1"/>
  <c r="I37"/>
  <c r="H6"/>
  <c r="N6" s="1"/>
  <c r="H37"/>
  <c r="N37" s="1"/>
  <c r="H7"/>
  <c r="E7"/>
  <c r="E12"/>
  <c r="N7" l="1"/>
  <c r="E52"/>
  <c r="J61"/>
  <c r="J62"/>
  <c r="J63"/>
  <c r="J64"/>
  <c r="J65"/>
  <c r="J60"/>
  <c r="J59"/>
  <c r="J58"/>
  <c r="J57"/>
  <c r="H65"/>
  <c r="H64"/>
  <c r="H63"/>
  <c r="H62"/>
  <c r="H61"/>
  <c r="H60"/>
  <c r="H59"/>
  <c r="H58"/>
  <c r="H57"/>
  <c r="I10" l="1"/>
  <c r="J10"/>
  <c r="G10"/>
  <c r="H38"/>
  <c r="O38"/>
  <c r="G38"/>
  <c r="N38" s="1"/>
  <c r="G32"/>
  <c r="H32"/>
  <c r="I32"/>
  <c r="J32"/>
  <c r="K32"/>
  <c r="L32"/>
  <c r="O9"/>
  <c r="O36"/>
  <c r="I17"/>
  <c r="N17" s="1"/>
  <c r="O45"/>
  <c r="N32" l="1"/>
  <c r="N10"/>
  <c r="O12"/>
  <c r="O34"/>
  <c r="O35"/>
  <c r="H14"/>
  <c r="N14" s="1"/>
  <c r="H12" l="1"/>
  <c r="N12" s="1"/>
  <c r="H52" l="1"/>
  <c r="N52" s="1"/>
</calcChain>
</file>

<file path=xl/sharedStrings.xml><?xml version="1.0" encoding="utf-8"?>
<sst xmlns="http://schemas.openxmlformats.org/spreadsheetml/2006/main" count="55" uniqueCount="53">
  <si>
    <t>МЦП "Удосконалення системи ТПВ"</t>
  </si>
  <si>
    <t>КП "СЄЗ"</t>
  </si>
  <si>
    <t>КП "Північна"</t>
  </si>
  <si>
    <t>КП "ВУКГ"</t>
  </si>
  <si>
    <t>ФОП "Карпенко"</t>
  </si>
  <si>
    <t>Агрогарант</t>
  </si>
  <si>
    <t>КП"НМПБ"</t>
  </si>
  <si>
    <t>Послуги з видалення ТПВ</t>
  </si>
  <si>
    <t>КП "НПШМК" (вулиці міста)</t>
  </si>
  <si>
    <t>Монтування ліній вул.освітлення</t>
  </si>
  <si>
    <t>ТОВ "Ритуал"</t>
  </si>
  <si>
    <t>КП "НУВКГ"</t>
  </si>
  <si>
    <t>ТОВ "Проект - сервіс"</t>
  </si>
  <si>
    <t>ФОП "Стрельніков"(сміттєприйм.пункту)</t>
  </si>
  <si>
    <t>Придбання солі</t>
  </si>
  <si>
    <t>ТОВ "Артемсіль"</t>
  </si>
  <si>
    <t>ФОП "Логінов"</t>
  </si>
  <si>
    <t>Фоп Сипливець</t>
  </si>
  <si>
    <t>Черн.реставр.майстерня</t>
  </si>
  <si>
    <t>ВСЬОГО</t>
  </si>
  <si>
    <t xml:space="preserve">Приріст видатків до попереднього року </t>
  </si>
  <si>
    <t>тис.грн.</t>
  </si>
  <si>
    <t>%</t>
  </si>
  <si>
    <t>(без капітальних видатків)</t>
  </si>
  <si>
    <t>Всього видатків за рік, в т.ч.:</t>
  </si>
  <si>
    <t xml:space="preserve"> Ручне прибирання вулиць</t>
  </si>
  <si>
    <t>Механізоване зимове прибирання</t>
  </si>
  <si>
    <t>Утримання наглядачів кладовищ/МЦП "Реконструкція та розвиток кладовищ"</t>
  </si>
  <si>
    <t>Обслуговування зелених насаджень/МЦП" Розвиток та збереження зелених насаджень"</t>
  </si>
  <si>
    <t>в т.ч. КП"ВУКГ"</t>
  </si>
  <si>
    <t>Технічне обслуговування та ремонт вуличного освітлення</t>
  </si>
  <si>
    <t>Прибирання прибудинкових територій та місць загального користування (парки, сквери, кладовища)</t>
  </si>
  <si>
    <t>Відлов, стерилізація, чіпування бездомних тварин</t>
  </si>
  <si>
    <t>Придбання та встановлення ламп, світильників,  вуличних ліхтарів, опор, електролічильників</t>
  </si>
  <si>
    <t>МЦП "Розвиток мережі громадських вбиралень"</t>
  </si>
  <si>
    <t>Громадські роботи</t>
  </si>
  <si>
    <t>Інші видатки</t>
  </si>
  <si>
    <t>Ліквідація стихійних сміттєзвалищ, вивезення сміття</t>
  </si>
  <si>
    <t>Встановлення, монтаж  автобусних зупинок</t>
  </si>
  <si>
    <t>Вид робіт по благоустрою / Рік</t>
  </si>
  <si>
    <t>Вуличне освітлення (РЕМ)</t>
  </si>
  <si>
    <t>Рік</t>
  </si>
  <si>
    <t>Видатки, тис. грн.</t>
  </si>
  <si>
    <t>Обсяг фінансування благоустрою</t>
  </si>
  <si>
    <t>Видалення, підрізання, побілка  дерев, викошування газонів, підстригання кущів, видалення амброзії, вивіз листя, посадка багаторічних насаджень</t>
  </si>
  <si>
    <t>Придбання, встановлення, ремонт контейнерів для сміття, контейнерних майданчиків, кліток для вторсир., контейнерних огорож, урн, лавочок, дощок оголошень тощо</t>
  </si>
  <si>
    <t>ТОВ "СОЛТ КО"</t>
  </si>
  <si>
    <t xml:space="preserve">Начальник фінансового управління                          Л. ПИСАРЕНКО </t>
  </si>
  <si>
    <t>Перевезення грунту та піску, автотранспортні послуги</t>
  </si>
  <si>
    <t xml:space="preserve"> Аналіз фінансування робіт по благоустрою за рахунок коштів міського бюджету  за 2009 - 2020  р.р. </t>
  </si>
  <si>
    <t>Поточний ремонт по місту (тротуарів, мостів,  бордюрів,  МАФів, пам’ятників, майданчиків, лавок, парканів, зупинок, водопроводів, вбиралень на кладовищах тощо)</t>
  </si>
  <si>
    <t>Розмітка вулиць, встановлення та обслуговування світлофорів, придбання, встановлення та ремонт дорожніх знаків, аншлагів, лежачих поліцейських, напівсфер,  турнікетів</t>
  </si>
  <si>
    <t>У 2020 р. в порівнянні з 2009 р. видатки збільшились на 22 709,6 тис. грн., або у 8 раз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</si>
</sst>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/>
    <xf numFmtId="164" fontId="3" fillId="2" borderId="0" xfId="0" applyNumberFormat="1" applyFont="1" applyFill="1"/>
    <xf numFmtId="164" fontId="3" fillId="2" borderId="2" xfId="0" applyNumberFormat="1" applyFont="1" applyFill="1" applyBorder="1"/>
    <xf numFmtId="164" fontId="2" fillId="2" borderId="2" xfId="0" applyNumberFormat="1" applyFont="1" applyFill="1" applyBorder="1"/>
    <xf numFmtId="164" fontId="2" fillId="2" borderId="0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6" fillId="2" borderId="1" xfId="0" applyFont="1" applyFill="1" applyBorder="1" applyAlignment="1">
      <alignment horizontal="justify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7" fillId="3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165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2" xfId="0" applyNumberFormat="1" applyFont="1" applyFill="1" applyBorder="1" applyAlignment="1"/>
    <xf numFmtId="164" fontId="2" fillId="2" borderId="3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wrapText="1"/>
    </xf>
  </cellXfs>
  <cellStyles count="11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 2" xfId="6"/>
    <cellStyle name="Обычный 3 3" xfId="7"/>
    <cellStyle name="Обычный 3 4" xfId="8"/>
    <cellStyle name="Обычный 3 5" xfId="9"/>
    <cellStyle name="Обычный 3 6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zoomScaleNormal="100" workbookViewId="0">
      <pane xSplit="1" ySplit="3" topLeftCell="B34" activePane="bottomRight" state="frozen"/>
      <selection pane="topRight" activeCell="C1" sqref="C1"/>
      <selection pane="bottomLeft" activeCell="A4" sqref="A4"/>
      <selection pane="bottomRight" activeCell="M41" sqref="M41"/>
    </sheetView>
  </sheetViews>
  <sheetFormatPr defaultRowHeight="15.75"/>
  <cols>
    <col min="1" max="1" width="34.42578125" style="35" customWidth="1"/>
    <col min="2" max="2" width="8.42578125" style="4" customWidth="1"/>
    <col min="3" max="6" width="8.42578125" style="5" customWidth="1"/>
    <col min="7" max="7" width="9" style="4" customWidth="1"/>
    <col min="8" max="8" width="8" style="4" customWidth="1"/>
    <col min="9" max="9" width="8.85546875" style="4" customWidth="1"/>
    <col min="10" max="10" width="9" style="4" customWidth="1"/>
    <col min="11" max="11" width="9.140625" style="4" customWidth="1"/>
    <col min="12" max="12" width="9.42578125" style="4" customWidth="1"/>
    <col min="13" max="13" width="10.85546875" style="4" customWidth="1"/>
    <col min="14" max="14" width="11.28515625" style="4" customWidth="1"/>
    <col min="15" max="15" width="0.140625" style="4" hidden="1" customWidth="1"/>
    <col min="16" max="16384" width="9.140625" style="4"/>
  </cols>
  <sheetData>
    <row r="1" spans="1:20">
      <c r="A1" s="68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3"/>
      <c r="P1" s="23"/>
      <c r="Q1" s="23"/>
      <c r="R1" s="23"/>
      <c r="S1" s="23"/>
    </row>
    <row r="2" spans="1:20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3"/>
      <c r="P2" s="23"/>
      <c r="Q2" s="23"/>
      <c r="R2" s="23"/>
      <c r="S2" s="23"/>
    </row>
    <row r="3" spans="1:20" s="8" customFormat="1" ht="55.5" customHeight="1">
      <c r="A3" s="29" t="s">
        <v>39</v>
      </c>
      <c r="B3" s="24">
        <v>2009</v>
      </c>
      <c r="C3" s="24">
        <v>2010</v>
      </c>
      <c r="D3" s="24">
        <v>2011</v>
      </c>
      <c r="E3" s="24">
        <v>2012</v>
      </c>
      <c r="F3" s="24">
        <v>2013</v>
      </c>
      <c r="G3" s="24">
        <v>2014</v>
      </c>
      <c r="H3" s="24">
        <v>2015</v>
      </c>
      <c r="I3" s="24">
        <v>2016</v>
      </c>
      <c r="J3" s="24">
        <v>2017</v>
      </c>
      <c r="K3" s="24">
        <v>2018</v>
      </c>
      <c r="L3" s="48">
        <v>2019</v>
      </c>
      <c r="M3" s="48">
        <v>2020</v>
      </c>
      <c r="N3" s="45" t="s">
        <v>19</v>
      </c>
      <c r="O3" s="22"/>
      <c r="P3" s="6"/>
      <c r="Q3" s="6"/>
      <c r="R3" s="6"/>
      <c r="S3" s="7"/>
    </row>
    <row r="4" spans="1:20" s="44" customFormat="1" ht="20.25" customHeight="1">
      <c r="A4" s="38" t="s">
        <v>24</v>
      </c>
      <c r="B4" s="39">
        <v>3229.2</v>
      </c>
      <c r="C4" s="39">
        <v>4116.5</v>
      </c>
      <c r="D4" s="39">
        <v>4536.2</v>
      </c>
      <c r="E4" s="39">
        <v>4168.2</v>
      </c>
      <c r="F4" s="39">
        <v>4178.6000000000004</v>
      </c>
      <c r="G4" s="39">
        <v>3444.7</v>
      </c>
      <c r="H4" s="39">
        <v>8469.7000000000007</v>
      </c>
      <c r="I4" s="39">
        <v>10271.799999999999</v>
      </c>
      <c r="J4" s="39">
        <v>18360.5</v>
      </c>
      <c r="K4" s="39">
        <v>21105.1</v>
      </c>
      <c r="L4" s="39">
        <v>24783.787</v>
      </c>
      <c r="M4" s="57">
        <v>25938.752</v>
      </c>
      <c r="N4" s="39">
        <f>SUM(B4:M4)</f>
        <v>132603.03899999999</v>
      </c>
      <c r="O4" s="40"/>
      <c r="P4" s="41"/>
      <c r="Q4" s="42"/>
      <c r="R4" s="42"/>
      <c r="S4" s="43"/>
    </row>
    <row r="5" spans="1:20" ht="15" customHeight="1">
      <c r="A5" s="30" t="s">
        <v>40</v>
      </c>
      <c r="B5" s="25">
        <v>213.8</v>
      </c>
      <c r="C5" s="25">
        <v>334.7</v>
      </c>
      <c r="D5" s="26">
        <v>417.1</v>
      </c>
      <c r="E5" s="26">
        <v>424.8</v>
      </c>
      <c r="F5" s="26">
        <v>428.9</v>
      </c>
      <c r="G5" s="27">
        <v>355.1</v>
      </c>
      <c r="H5" s="27">
        <v>553.29999999999995</v>
      </c>
      <c r="I5" s="27">
        <v>1095.3</v>
      </c>
      <c r="J5" s="27">
        <v>2354.5</v>
      </c>
      <c r="K5" s="27">
        <f>4447.4+1.4</f>
        <v>4448.7999999999993</v>
      </c>
      <c r="L5" s="26">
        <v>3788.835</v>
      </c>
      <c r="M5" s="55">
        <v>5033.5110000000004</v>
      </c>
      <c r="N5" s="39">
        <f t="shared" ref="N5:N52" si="0">SUM(B5:M5)</f>
        <v>19448.646000000001</v>
      </c>
      <c r="O5" s="10"/>
      <c r="P5" s="11"/>
      <c r="Q5" s="6"/>
      <c r="R5" s="12"/>
      <c r="S5" s="13"/>
    </row>
    <row r="6" spans="1:20">
      <c r="A6" s="30" t="s">
        <v>25</v>
      </c>
      <c r="B6" s="25">
        <v>848.7</v>
      </c>
      <c r="C6" s="28">
        <v>1197.3</v>
      </c>
      <c r="D6" s="26">
        <v>1410.9</v>
      </c>
      <c r="E6" s="26">
        <v>1197</v>
      </c>
      <c r="F6" s="26">
        <v>938.8</v>
      </c>
      <c r="G6" s="27">
        <f>562.5</f>
        <v>562.5</v>
      </c>
      <c r="H6" s="27">
        <f>658.4+70</f>
        <v>728.4</v>
      </c>
      <c r="I6" s="27"/>
      <c r="J6" s="27"/>
      <c r="K6" s="27"/>
      <c r="L6" s="26"/>
      <c r="M6" s="54"/>
      <c r="N6" s="39">
        <f t="shared" si="0"/>
        <v>6883.5999999999995</v>
      </c>
      <c r="O6" s="10"/>
      <c r="P6" s="11"/>
      <c r="Q6" s="6"/>
      <c r="R6" s="12"/>
      <c r="S6" s="13"/>
    </row>
    <row r="7" spans="1:20" ht="44.25" customHeight="1">
      <c r="A7" s="30" t="s">
        <v>31</v>
      </c>
      <c r="B7" s="25">
        <v>405.6</v>
      </c>
      <c r="C7" s="25">
        <v>263.60000000000002</v>
      </c>
      <c r="D7" s="26"/>
      <c r="E7" s="26">
        <f>111+170</f>
        <v>281</v>
      </c>
      <c r="F7" s="26"/>
      <c r="G7" s="27">
        <v>150.69999999999999</v>
      </c>
      <c r="H7" s="27">
        <f>259.3+97.1</f>
        <v>356.4</v>
      </c>
      <c r="I7" s="27">
        <v>198.9</v>
      </c>
      <c r="J7" s="27">
        <f>60.8+7.8+381.4+178.2+10+3.9</f>
        <v>642.1</v>
      </c>
      <c r="K7" s="27">
        <f>7.5+9.2+6.5</f>
        <v>23.2</v>
      </c>
      <c r="L7" s="26">
        <v>0</v>
      </c>
      <c r="M7" s="55"/>
      <c r="N7" s="39">
        <f t="shared" si="0"/>
        <v>2321.5</v>
      </c>
      <c r="O7" s="10"/>
      <c r="P7" s="11"/>
      <c r="Q7" s="6"/>
      <c r="R7" s="12"/>
      <c r="S7" s="13"/>
    </row>
    <row r="8" spans="1:20">
      <c r="A8" s="30" t="s">
        <v>26</v>
      </c>
      <c r="B8" s="25">
        <v>169.9</v>
      </c>
      <c r="C8" s="26">
        <v>502</v>
      </c>
      <c r="D8" s="26">
        <v>410</v>
      </c>
      <c r="E8" s="26">
        <v>378.4</v>
      </c>
      <c r="F8" s="26">
        <v>69.5</v>
      </c>
      <c r="G8" s="27"/>
      <c r="H8" s="27"/>
      <c r="I8" s="27"/>
      <c r="J8" s="27"/>
      <c r="K8" s="27"/>
      <c r="L8" s="26"/>
      <c r="M8" s="55"/>
      <c r="N8" s="39">
        <f t="shared" si="0"/>
        <v>1529.8000000000002</v>
      </c>
      <c r="O8" s="10"/>
      <c r="P8" s="11"/>
      <c r="Q8" s="11"/>
      <c r="R8" s="14"/>
      <c r="S8" s="13"/>
    </row>
    <row r="9" spans="1:20" ht="51">
      <c r="A9" s="30" t="s">
        <v>44</v>
      </c>
      <c r="B9" s="25"/>
      <c r="C9" s="26"/>
      <c r="D9" s="26">
        <v>623.20000000000005</v>
      </c>
      <c r="E9" s="26">
        <f>189.4+90.9</f>
        <v>280.3</v>
      </c>
      <c r="F9" s="26">
        <f>735.2+49.5</f>
        <v>784.7</v>
      </c>
      <c r="G9" s="27">
        <f>437.8+39.8</f>
        <v>477.6</v>
      </c>
      <c r="H9" s="27">
        <v>516.4</v>
      </c>
      <c r="I9" s="27">
        <v>942.1</v>
      </c>
      <c r="J9" s="27">
        <f>1631.5+2.4</f>
        <v>1633.9</v>
      </c>
      <c r="K9" s="27">
        <f>203.5+49.9+368+46.5+590.9+33.2+9.7+247.9+15.2+40.5+4.1</f>
        <v>1609.4</v>
      </c>
      <c r="L9" s="50">
        <v>2317</v>
      </c>
      <c r="M9" s="55">
        <v>1802.0509999999999</v>
      </c>
      <c r="N9" s="39">
        <f t="shared" si="0"/>
        <v>10986.651</v>
      </c>
      <c r="O9" s="10" t="e">
        <f>#REF!+#REF!+#REF!+#REF!+#REF!+#REF!</f>
        <v>#REF!</v>
      </c>
      <c r="P9" s="11"/>
      <c r="Q9" s="15"/>
      <c r="R9" s="16"/>
      <c r="S9" s="16"/>
      <c r="T9" s="16"/>
    </row>
    <row r="10" spans="1:20" ht="25.5">
      <c r="A10" s="30" t="s">
        <v>37</v>
      </c>
      <c r="B10" s="25"/>
      <c r="C10" s="26"/>
      <c r="D10" s="26"/>
      <c r="E10" s="26"/>
      <c r="F10" s="26">
        <v>50</v>
      </c>
      <c r="G10" s="27">
        <f>G11</f>
        <v>0</v>
      </c>
      <c r="H10" s="27">
        <v>40.700000000000003</v>
      </c>
      <c r="I10" s="27">
        <f t="shared" ref="I10:L10" si="1">I11</f>
        <v>0</v>
      </c>
      <c r="J10" s="27">
        <f t="shared" si="1"/>
        <v>0</v>
      </c>
      <c r="K10" s="27">
        <f>K11+5.1</f>
        <v>444.70000000000005</v>
      </c>
      <c r="L10" s="50">
        <f t="shared" si="1"/>
        <v>1165.0999999999999</v>
      </c>
      <c r="M10" s="56">
        <v>991.29499999999996</v>
      </c>
      <c r="N10" s="39">
        <f t="shared" si="0"/>
        <v>2691.7950000000001</v>
      </c>
      <c r="O10" s="17"/>
      <c r="P10" s="15"/>
      <c r="Q10" s="13"/>
    </row>
    <row r="11" spans="1:20">
      <c r="A11" s="49" t="s">
        <v>3</v>
      </c>
      <c r="B11" s="25"/>
      <c r="C11" s="26"/>
      <c r="D11" s="26"/>
      <c r="E11" s="26"/>
      <c r="F11" s="26"/>
      <c r="G11" s="27"/>
      <c r="H11" s="27"/>
      <c r="I11" s="27"/>
      <c r="J11" s="27"/>
      <c r="K11" s="27">
        <f>174.9+4.9+84.9+174.9</f>
        <v>439.6</v>
      </c>
      <c r="L11" s="50">
        <v>1165.0999999999999</v>
      </c>
      <c r="M11" s="56">
        <v>991.29499999999996</v>
      </c>
      <c r="N11" s="39">
        <f t="shared" si="0"/>
        <v>2595.9949999999999</v>
      </c>
      <c r="O11" s="17"/>
      <c r="P11" s="15"/>
      <c r="Q11" s="13"/>
    </row>
    <row r="12" spans="1:20" ht="70.5" customHeight="1">
      <c r="A12" s="30" t="s">
        <v>50</v>
      </c>
      <c r="B12" s="25"/>
      <c r="C12" s="26">
        <v>171.3</v>
      </c>
      <c r="D12" s="26">
        <v>670.9</v>
      </c>
      <c r="E12" s="26">
        <f>551.3+153.8</f>
        <v>705.09999999999991</v>
      </c>
      <c r="F12" s="26">
        <v>1138</v>
      </c>
      <c r="G12" s="27">
        <v>696.7</v>
      </c>
      <c r="H12" s="27">
        <f>H13+H14+H15+H16+H17+H18+H21+H22+H23+H24+H19+H25+H26+H27+H28+H20+H29+H30+32.3</f>
        <v>1909.6000000000001</v>
      </c>
      <c r="I12" s="27">
        <f>1440.9+19.3+51.3+4.2+30.2</f>
        <v>1545.9</v>
      </c>
      <c r="J12" s="27">
        <f>135.8+0.9+0.5+3.5+2.3+6.8+92.1+2.1+14.4+25.7+6.6+60.2+32.9+6.5+1.1+17.9+23.2+22.2+32.1+11.8+2+3.2+17.1+3.3+0.7+0.9+47.8+10.3+199.9+147.8+12.2+29.6+35.4+14.7+34.8+31.1+15.4+199.2+40.8+24.9+99.4+20.7+139.6+79.3+3.9+15</f>
        <v>1727.6000000000001</v>
      </c>
      <c r="K12" s="27">
        <f>5+9.9+5.5+1.4+397.7+16.2+3.1+6+7.1+2.3+3.5+1.3+1.2+1.4+1.6+2.5+2+1.3+1.6+2+2.5+4.9+2.5+42.5+3.7+8.7+5+9.3+18.5+2.1+6.6+9.7+7.3+1.5+131.7+12.3+38+12.7+65.6+49.9+48.5+13.2+154.8+2.2+1.8+0.8+0.6+30.9+1+25.1+481.5+540.5+32.9+22.4+4.5+18.2+10</f>
        <v>2296.5</v>
      </c>
      <c r="L12" s="50">
        <v>1484.8</v>
      </c>
      <c r="M12" s="56">
        <v>1590.2619999999999</v>
      </c>
      <c r="N12" s="39">
        <f t="shared" si="0"/>
        <v>13936.662</v>
      </c>
      <c r="O12" s="10">
        <f>O13+O14+O15+O16+O17+O18+O21+O22+O23+O24</f>
        <v>0</v>
      </c>
      <c r="P12" s="11"/>
      <c r="Q12" s="13"/>
    </row>
    <row r="13" spans="1:20" hidden="1">
      <c r="A13" s="31" t="s">
        <v>5</v>
      </c>
      <c r="B13" s="25"/>
      <c r="C13" s="26"/>
      <c r="D13" s="26"/>
      <c r="E13" s="26"/>
      <c r="F13" s="26"/>
      <c r="G13" s="27">
        <v>67.2</v>
      </c>
      <c r="H13" s="27"/>
      <c r="I13" s="27"/>
      <c r="J13" s="27"/>
      <c r="K13" s="27"/>
      <c r="L13" s="50"/>
      <c r="M13" s="56"/>
      <c r="N13" s="39">
        <f t="shared" si="0"/>
        <v>67.2</v>
      </c>
      <c r="O13" s="17"/>
      <c r="P13" s="15"/>
      <c r="Q13" s="13"/>
    </row>
    <row r="14" spans="1:20" hidden="1">
      <c r="A14" s="31" t="s">
        <v>8</v>
      </c>
      <c r="B14" s="25"/>
      <c r="C14" s="26"/>
      <c r="D14" s="26"/>
      <c r="E14" s="26"/>
      <c r="F14" s="26"/>
      <c r="G14" s="27">
        <v>561.1</v>
      </c>
      <c r="H14" s="27">
        <f>933+604.4</f>
        <v>1537.4</v>
      </c>
      <c r="I14" s="27">
        <v>175.4</v>
      </c>
      <c r="J14" s="27"/>
      <c r="K14" s="27"/>
      <c r="L14" s="50"/>
      <c r="M14" s="56"/>
      <c r="N14" s="39">
        <f t="shared" si="0"/>
        <v>2273.9</v>
      </c>
      <c r="O14" s="17"/>
      <c r="P14" s="15"/>
      <c r="Q14" s="13"/>
    </row>
    <row r="15" spans="1:20" hidden="1">
      <c r="A15" s="31" t="s">
        <v>2</v>
      </c>
      <c r="B15" s="25"/>
      <c r="C15" s="26"/>
      <c r="D15" s="26"/>
      <c r="E15" s="26"/>
      <c r="F15" s="26"/>
      <c r="G15" s="27">
        <v>10</v>
      </c>
      <c r="H15" s="27">
        <v>11.7</v>
      </c>
      <c r="I15" s="27"/>
      <c r="J15" s="27">
        <v>34.1</v>
      </c>
      <c r="K15" s="27">
        <v>36.4</v>
      </c>
      <c r="L15" s="50"/>
      <c r="M15" s="56"/>
      <c r="N15" s="39">
        <f t="shared" si="0"/>
        <v>92.199999999999989</v>
      </c>
      <c r="O15" s="17"/>
      <c r="P15" s="15"/>
      <c r="Q15" s="13"/>
    </row>
    <row r="16" spans="1:20" hidden="1">
      <c r="A16" s="31" t="s">
        <v>1</v>
      </c>
      <c r="B16" s="25"/>
      <c r="C16" s="26"/>
      <c r="D16" s="26"/>
      <c r="E16" s="26"/>
      <c r="F16" s="26"/>
      <c r="G16" s="27">
        <v>44.5</v>
      </c>
      <c r="H16" s="27">
        <v>54</v>
      </c>
      <c r="I16" s="27">
        <v>10.3</v>
      </c>
      <c r="J16" s="27">
        <v>97.3</v>
      </c>
      <c r="K16" s="27"/>
      <c r="L16" s="50">
        <v>25.5</v>
      </c>
      <c r="M16" s="56"/>
      <c r="N16" s="39">
        <f t="shared" si="0"/>
        <v>231.6</v>
      </c>
      <c r="O16" s="17"/>
      <c r="P16" s="15"/>
      <c r="Q16" s="13"/>
    </row>
    <row r="17" spans="1:17" hidden="1">
      <c r="A17" s="31" t="s">
        <v>3</v>
      </c>
      <c r="B17" s="25"/>
      <c r="C17" s="26"/>
      <c r="D17" s="26"/>
      <c r="E17" s="26"/>
      <c r="F17" s="26"/>
      <c r="G17" s="27"/>
      <c r="H17" s="27">
        <v>176.7</v>
      </c>
      <c r="I17" s="27">
        <f>11.4+6.8+35+5.1+118.9</f>
        <v>177.20000000000002</v>
      </c>
      <c r="J17" s="27">
        <v>242.9</v>
      </c>
      <c r="K17" s="27">
        <v>451.4</v>
      </c>
      <c r="L17" s="50"/>
      <c r="M17" s="56"/>
      <c r="N17" s="39">
        <f t="shared" si="0"/>
        <v>1048.1999999999998</v>
      </c>
      <c r="O17" s="17"/>
      <c r="P17" s="15"/>
      <c r="Q17" s="13"/>
    </row>
    <row r="18" spans="1:17" hidden="1">
      <c r="A18" s="31" t="s">
        <v>6</v>
      </c>
      <c r="B18" s="25"/>
      <c r="C18" s="26"/>
      <c r="D18" s="26"/>
      <c r="E18" s="26"/>
      <c r="F18" s="26"/>
      <c r="G18" s="27">
        <v>9.1999999999999993</v>
      </c>
      <c r="H18" s="27">
        <v>21.3</v>
      </c>
      <c r="I18" s="27"/>
      <c r="J18" s="27"/>
      <c r="K18" s="27"/>
      <c r="L18" s="50"/>
      <c r="M18" s="56"/>
      <c r="N18" s="39">
        <f t="shared" si="0"/>
        <v>30.5</v>
      </c>
      <c r="O18" s="17"/>
      <c r="P18" s="15"/>
      <c r="Q18" s="13"/>
    </row>
    <row r="19" spans="1:17" hidden="1">
      <c r="A19" s="31" t="s">
        <v>11</v>
      </c>
      <c r="B19" s="25"/>
      <c r="C19" s="26"/>
      <c r="D19" s="26"/>
      <c r="E19" s="26"/>
      <c r="F19" s="26"/>
      <c r="G19" s="27"/>
      <c r="H19" s="27"/>
      <c r="I19" s="27"/>
      <c r="J19" s="27">
        <v>63</v>
      </c>
      <c r="K19" s="27">
        <v>25.1</v>
      </c>
      <c r="L19" s="50">
        <v>21.2</v>
      </c>
      <c r="M19" s="56"/>
      <c r="N19" s="39">
        <f t="shared" si="0"/>
        <v>109.3</v>
      </c>
      <c r="O19" s="17"/>
      <c r="P19" s="15"/>
      <c r="Q19" s="13"/>
    </row>
    <row r="20" spans="1:17" hidden="1">
      <c r="A20" s="31" t="s">
        <v>10</v>
      </c>
      <c r="B20" s="25"/>
      <c r="C20" s="26"/>
      <c r="D20" s="26"/>
      <c r="E20" s="26"/>
      <c r="F20" s="26"/>
      <c r="G20" s="27"/>
      <c r="H20" s="27"/>
      <c r="I20" s="27"/>
      <c r="J20" s="27"/>
      <c r="K20" s="27"/>
      <c r="L20" s="50">
        <v>43.6</v>
      </c>
      <c r="M20" s="56"/>
      <c r="N20" s="39">
        <f t="shared" si="0"/>
        <v>43.6</v>
      </c>
      <c r="O20" s="17"/>
      <c r="P20" s="15"/>
      <c r="Q20" s="13"/>
    </row>
    <row r="21" spans="1:17" hidden="1">
      <c r="A21" s="31" t="s">
        <v>4</v>
      </c>
      <c r="B21" s="25"/>
      <c r="C21" s="26"/>
      <c r="D21" s="26"/>
      <c r="E21" s="26"/>
      <c r="F21" s="26"/>
      <c r="G21" s="27"/>
      <c r="H21" s="27">
        <v>47.2</v>
      </c>
      <c r="I21" s="27"/>
      <c r="J21" s="27"/>
      <c r="K21" s="27"/>
      <c r="L21" s="50"/>
      <c r="M21" s="56"/>
      <c r="N21" s="39">
        <f t="shared" si="0"/>
        <v>47.2</v>
      </c>
      <c r="O21" s="17"/>
      <c r="P21" s="15"/>
      <c r="Q21" s="13"/>
    </row>
    <row r="22" spans="1:17" hidden="1">
      <c r="A22" s="31"/>
      <c r="B22" s="25"/>
      <c r="C22" s="26"/>
      <c r="D22" s="26"/>
      <c r="E22" s="26"/>
      <c r="F22" s="26"/>
      <c r="G22" s="27"/>
      <c r="H22" s="27"/>
      <c r="I22" s="27"/>
      <c r="J22" s="27"/>
      <c r="K22" s="27"/>
      <c r="L22" s="50"/>
      <c r="M22" s="56"/>
      <c r="N22" s="39">
        <f t="shared" si="0"/>
        <v>0</v>
      </c>
      <c r="O22" s="17"/>
      <c r="P22" s="15"/>
      <c r="Q22" s="13"/>
    </row>
    <row r="23" spans="1:17" ht="17.25" hidden="1" customHeight="1">
      <c r="A23" s="31"/>
      <c r="B23" s="25"/>
      <c r="C23" s="26"/>
      <c r="D23" s="26"/>
      <c r="E23" s="26"/>
      <c r="F23" s="26"/>
      <c r="G23" s="27"/>
      <c r="H23" s="27"/>
      <c r="I23" s="27"/>
      <c r="J23" s="27"/>
      <c r="K23" s="27"/>
      <c r="L23" s="50"/>
      <c r="M23" s="56"/>
      <c r="N23" s="39">
        <f t="shared" si="0"/>
        <v>0</v>
      </c>
      <c r="O23" s="17"/>
      <c r="P23" s="15"/>
      <c r="Q23" s="13"/>
    </row>
    <row r="24" spans="1:17" ht="17.25" hidden="1" customHeight="1">
      <c r="A24" s="31"/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50"/>
      <c r="M24" s="56"/>
      <c r="N24" s="39">
        <f t="shared" si="0"/>
        <v>0</v>
      </c>
      <c r="O24" s="17"/>
      <c r="P24" s="15"/>
      <c r="Q24" s="13"/>
    </row>
    <row r="25" spans="1:17" ht="17.25" hidden="1" customHeight="1">
      <c r="A25" s="31"/>
      <c r="B25" s="25"/>
      <c r="C25" s="26"/>
      <c r="D25" s="26"/>
      <c r="E25" s="26"/>
      <c r="F25" s="26"/>
      <c r="G25" s="27"/>
      <c r="H25" s="27"/>
      <c r="I25" s="27"/>
      <c r="J25" s="27"/>
      <c r="K25" s="27"/>
      <c r="L25" s="50"/>
      <c r="M25" s="56"/>
      <c r="N25" s="39">
        <f t="shared" si="0"/>
        <v>0</v>
      </c>
      <c r="O25" s="17"/>
      <c r="P25" s="15"/>
      <c r="Q25" s="13"/>
    </row>
    <row r="26" spans="1:17" ht="17.25" hidden="1" customHeight="1">
      <c r="A26" s="31" t="s">
        <v>12</v>
      </c>
      <c r="B26" s="25"/>
      <c r="C26" s="26"/>
      <c r="D26" s="26"/>
      <c r="E26" s="26"/>
      <c r="F26" s="26"/>
      <c r="G26" s="27"/>
      <c r="H26" s="27"/>
      <c r="I26" s="27"/>
      <c r="J26" s="27">
        <v>218.9</v>
      </c>
      <c r="K26" s="27"/>
      <c r="L26" s="50"/>
      <c r="M26" s="56"/>
      <c r="N26" s="39">
        <f t="shared" si="0"/>
        <v>218.9</v>
      </c>
      <c r="O26" s="17"/>
      <c r="P26" s="15"/>
      <c r="Q26" s="13"/>
    </row>
    <row r="27" spans="1:17" ht="17.25" hidden="1" customHeight="1">
      <c r="A27" s="31" t="s">
        <v>13</v>
      </c>
      <c r="B27" s="25"/>
      <c r="C27" s="26"/>
      <c r="D27" s="26"/>
      <c r="E27" s="26"/>
      <c r="F27" s="26"/>
      <c r="G27" s="27"/>
      <c r="H27" s="27"/>
      <c r="I27" s="27"/>
      <c r="J27" s="27">
        <v>99.4</v>
      </c>
      <c r="K27" s="27"/>
      <c r="L27" s="50"/>
      <c r="M27" s="56"/>
      <c r="N27" s="39">
        <f t="shared" si="0"/>
        <v>99.4</v>
      </c>
      <c r="O27" s="17"/>
      <c r="P27" s="15"/>
      <c r="Q27" s="13"/>
    </row>
    <row r="28" spans="1:17" ht="17.25" hidden="1" customHeight="1">
      <c r="A28" s="31" t="s">
        <v>16</v>
      </c>
      <c r="B28" s="25"/>
      <c r="C28" s="26"/>
      <c r="D28" s="26"/>
      <c r="E28" s="26"/>
      <c r="F28" s="26"/>
      <c r="G28" s="27"/>
      <c r="H28" s="27"/>
      <c r="I28" s="27"/>
      <c r="J28" s="27"/>
      <c r="K28" s="27">
        <v>464.1</v>
      </c>
      <c r="L28" s="50">
        <v>114.8</v>
      </c>
      <c r="M28" s="56"/>
      <c r="N28" s="39">
        <f t="shared" si="0"/>
        <v>578.9</v>
      </c>
      <c r="O28" s="17"/>
      <c r="P28" s="15"/>
      <c r="Q28" s="13"/>
    </row>
    <row r="29" spans="1:17" ht="17.25" hidden="1" customHeight="1">
      <c r="A29" s="31" t="s">
        <v>17</v>
      </c>
      <c r="B29" s="25"/>
      <c r="C29" s="26"/>
      <c r="D29" s="26"/>
      <c r="E29" s="26"/>
      <c r="F29" s="26"/>
      <c r="G29" s="27"/>
      <c r="H29" s="27">
        <v>18.899999999999999</v>
      </c>
      <c r="I29" s="27">
        <v>20</v>
      </c>
      <c r="J29" s="27"/>
      <c r="K29" s="27">
        <v>18.2</v>
      </c>
      <c r="L29" s="50">
        <v>199.4</v>
      </c>
      <c r="M29" s="56"/>
      <c r="N29" s="39">
        <f t="shared" si="0"/>
        <v>256.5</v>
      </c>
      <c r="O29" s="17"/>
      <c r="P29" s="15"/>
      <c r="Q29" s="13"/>
    </row>
    <row r="30" spans="1:17" ht="17.25" hidden="1" customHeight="1">
      <c r="A30" s="31" t="s">
        <v>18</v>
      </c>
      <c r="B30" s="25"/>
      <c r="C30" s="26"/>
      <c r="D30" s="26"/>
      <c r="E30" s="26"/>
      <c r="F30" s="26"/>
      <c r="G30" s="27"/>
      <c r="H30" s="27">
        <v>10.1</v>
      </c>
      <c r="I30" s="27">
        <v>38.299999999999997</v>
      </c>
      <c r="J30" s="27">
        <v>241.7</v>
      </c>
      <c r="K30" s="27"/>
      <c r="L30" s="50"/>
      <c r="M30" s="56"/>
      <c r="N30" s="39">
        <f t="shared" si="0"/>
        <v>290.09999999999997</v>
      </c>
      <c r="O30" s="17"/>
      <c r="P30" s="15"/>
      <c r="Q30" s="13"/>
    </row>
    <row r="31" spans="1:17" ht="64.5" customHeight="1">
      <c r="A31" s="30" t="s">
        <v>51</v>
      </c>
      <c r="B31" s="25"/>
      <c r="C31" s="26"/>
      <c r="D31" s="26"/>
      <c r="E31" s="26">
        <v>215</v>
      </c>
      <c r="F31" s="26">
        <f>23.4+54.4+5.8+34.3+1</f>
        <v>118.89999999999999</v>
      </c>
      <c r="G31" s="27">
        <f>35</f>
        <v>35</v>
      </c>
      <c r="H31" s="27">
        <v>181.6</v>
      </c>
      <c r="I31" s="27">
        <f>142.7+56.5+25+19.9+19+4+47.7+136.8+100</f>
        <v>551.6</v>
      </c>
      <c r="J31" s="27">
        <f>2.9+16.5+7.1+12.4+3+1.7+0.7+13.5</f>
        <v>57.800000000000004</v>
      </c>
      <c r="K31" s="27">
        <f>109.8+134.2+111.4+115.3+18.7+135.9+4.9+1.4+20.5+5.7+89.9+4.6+198.9+12.9+9.3+1.1</f>
        <v>974.49999999999989</v>
      </c>
      <c r="L31" s="50">
        <v>343.1</v>
      </c>
      <c r="M31" s="56">
        <v>531.62900000000002</v>
      </c>
      <c r="N31" s="39">
        <f t="shared" si="0"/>
        <v>3009.1289999999995</v>
      </c>
      <c r="O31" s="18"/>
      <c r="P31" s="19"/>
      <c r="Q31" s="7"/>
    </row>
    <row r="32" spans="1:17">
      <c r="A32" s="30" t="s">
        <v>7</v>
      </c>
      <c r="B32" s="25"/>
      <c r="C32" s="26"/>
      <c r="D32" s="26"/>
      <c r="E32" s="26"/>
      <c r="F32" s="26"/>
      <c r="G32" s="27">
        <f>G33</f>
        <v>0</v>
      </c>
      <c r="H32" s="27">
        <f t="shared" ref="H32:L32" si="2">H33</f>
        <v>696.6</v>
      </c>
      <c r="I32" s="27">
        <f t="shared" si="2"/>
        <v>0</v>
      </c>
      <c r="J32" s="27">
        <f t="shared" si="2"/>
        <v>0</v>
      </c>
      <c r="K32" s="27">
        <f t="shared" si="2"/>
        <v>0</v>
      </c>
      <c r="L32" s="50">
        <f t="shared" si="2"/>
        <v>0</v>
      </c>
      <c r="M32" s="56"/>
      <c r="N32" s="39">
        <f t="shared" si="0"/>
        <v>696.6</v>
      </c>
      <c r="O32" s="17"/>
      <c r="P32" s="15"/>
      <c r="Q32" s="13"/>
    </row>
    <row r="33" spans="1:17">
      <c r="A33" s="49" t="s">
        <v>5</v>
      </c>
      <c r="B33" s="25"/>
      <c r="C33" s="26"/>
      <c r="D33" s="26"/>
      <c r="E33" s="26"/>
      <c r="F33" s="26"/>
      <c r="G33" s="27"/>
      <c r="H33" s="27">
        <v>696.6</v>
      </c>
      <c r="I33" s="27"/>
      <c r="J33" s="27"/>
      <c r="K33" s="27"/>
      <c r="L33" s="50"/>
      <c r="M33" s="56"/>
      <c r="N33" s="39">
        <f t="shared" si="0"/>
        <v>696.6</v>
      </c>
      <c r="O33" s="17"/>
      <c r="P33" s="15"/>
      <c r="Q33" s="13"/>
    </row>
    <row r="34" spans="1:17" ht="16.5" customHeight="1">
      <c r="A34" s="30" t="s">
        <v>9</v>
      </c>
      <c r="B34" s="25"/>
      <c r="C34" s="26">
        <v>0</v>
      </c>
      <c r="D34" s="26"/>
      <c r="E34" s="26"/>
      <c r="F34" s="26"/>
      <c r="G34" s="27">
        <v>0</v>
      </c>
      <c r="H34" s="27">
        <v>0</v>
      </c>
      <c r="I34" s="27">
        <v>627.29999999999995</v>
      </c>
      <c r="J34" s="27">
        <v>1643.5</v>
      </c>
      <c r="K34" s="27">
        <v>752.6</v>
      </c>
      <c r="L34" s="50">
        <v>1401.2</v>
      </c>
      <c r="M34" s="56">
        <v>1145.258</v>
      </c>
      <c r="N34" s="39">
        <f t="shared" si="0"/>
        <v>5569.8580000000002</v>
      </c>
      <c r="O34" s="10" t="e">
        <f>#REF!</f>
        <v>#REF!</v>
      </c>
      <c r="P34" s="15"/>
      <c r="Q34" s="13"/>
    </row>
    <row r="35" spans="1:17" ht="26.25" customHeight="1">
      <c r="A35" s="30" t="s">
        <v>30</v>
      </c>
      <c r="B35" s="25">
        <v>133.1</v>
      </c>
      <c r="C35" s="26">
        <v>240.2</v>
      </c>
      <c r="D35" s="26">
        <v>200.1</v>
      </c>
      <c r="E35" s="26">
        <v>210.1</v>
      </c>
      <c r="F35" s="26">
        <v>106.1</v>
      </c>
      <c r="G35" s="27">
        <v>0</v>
      </c>
      <c r="H35" s="27">
        <v>467.3</v>
      </c>
      <c r="I35" s="27">
        <v>298.39999999999998</v>
      </c>
      <c r="J35" s="27">
        <v>681.2</v>
      </c>
      <c r="K35" s="27">
        <v>1168.3</v>
      </c>
      <c r="L35" s="50">
        <v>1758</v>
      </c>
      <c r="M35" s="56">
        <v>1294.846</v>
      </c>
      <c r="N35" s="39">
        <f t="shared" si="0"/>
        <v>6557.6460000000006</v>
      </c>
      <c r="O35" s="10" t="e">
        <f>#REF!+#REF!</f>
        <v>#REF!</v>
      </c>
      <c r="P35" s="11"/>
      <c r="Q35" s="13"/>
    </row>
    <row r="36" spans="1:17" ht="66.75" customHeight="1">
      <c r="A36" s="30" t="s">
        <v>45</v>
      </c>
      <c r="B36" s="25"/>
      <c r="C36" s="26"/>
      <c r="D36" s="26"/>
      <c r="E36" s="26">
        <v>12.5</v>
      </c>
      <c r="F36" s="26">
        <v>19</v>
      </c>
      <c r="G36" s="27">
        <v>0</v>
      </c>
      <c r="H36" s="27">
        <v>31.7</v>
      </c>
      <c r="I36" s="27">
        <v>100</v>
      </c>
      <c r="J36" s="27">
        <f>449.8+82.8+88.4+58+3.1+62+7+100</f>
        <v>851.1</v>
      </c>
      <c r="K36" s="27">
        <f>82.5+80+74.9+22.7+26+6.5+108.7+1.7</f>
        <v>403</v>
      </c>
      <c r="L36" s="50">
        <v>720.2</v>
      </c>
      <c r="M36" s="56">
        <f xml:space="preserve"> 936.14+67.186+34.136</f>
        <v>1037.462</v>
      </c>
      <c r="N36" s="39">
        <f t="shared" si="0"/>
        <v>3174.962</v>
      </c>
      <c r="O36" s="10" t="e">
        <f>#REF!+#REF!</f>
        <v>#REF!</v>
      </c>
      <c r="P36" s="11"/>
      <c r="Q36" s="13"/>
    </row>
    <row r="37" spans="1:17" ht="38.25">
      <c r="A37" s="30" t="s">
        <v>33</v>
      </c>
      <c r="B37" s="25"/>
      <c r="C37" s="26">
        <v>49.7</v>
      </c>
      <c r="D37" s="26"/>
      <c r="E37" s="26"/>
      <c r="F37" s="26"/>
      <c r="G37" s="27">
        <v>0</v>
      </c>
      <c r="H37" s="27">
        <f>16.1+10.9</f>
        <v>27</v>
      </c>
      <c r="I37" s="27">
        <f>378.1+42.1</f>
        <v>420.20000000000005</v>
      </c>
      <c r="J37" s="27">
        <f>1029.4+15.6</f>
        <v>1045</v>
      </c>
      <c r="K37" s="27">
        <v>0</v>
      </c>
      <c r="L37" s="50">
        <v>193.5</v>
      </c>
      <c r="M37" s="56">
        <v>240.58</v>
      </c>
      <c r="N37" s="39">
        <f t="shared" si="0"/>
        <v>1975.98</v>
      </c>
      <c r="O37" s="17"/>
      <c r="P37" s="15"/>
      <c r="Q37" s="13"/>
    </row>
    <row r="38" spans="1:17">
      <c r="A38" s="30" t="s">
        <v>14</v>
      </c>
      <c r="B38" s="25"/>
      <c r="C38" s="26">
        <v>0</v>
      </c>
      <c r="D38" s="26"/>
      <c r="E38" s="26"/>
      <c r="F38" s="26"/>
      <c r="G38" s="27">
        <f>G42</f>
        <v>0</v>
      </c>
      <c r="H38" s="27">
        <f>H42</f>
        <v>0</v>
      </c>
      <c r="I38" s="27">
        <v>100.1</v>
      </c>
      <c r="J38" s="27">
        <f>220+40.1</f>
        <v>260.10000000000002</v>
      </c>
      <c r="K38" s="27">
        <f>K39</f>
        <v>210.5</v>
      </c>
      <c r="L38" s="50">
        <f t="shared" ref="L38" si="3">L39</f>
        <v>381.2</v>
      </c>
      <c r="M38" s="56">
        <v>179.76</v>
      </c>
      <c r="N38" s="39">
        <f t="shared" si="0"/>
        <v>1131.6600000000001</v>
      </c>
      <c r="O38" s="9">
        <f>O42</f>
        <v>0</v>
      </c>
      <c r="P38" s="15"/>
      <c r="Q38" s="13"/>
    </row>
    <row r="39" spans="1:17">
      <c r="A39" s="31" t="s">
        <v>15</v>
      </c>
      <c r="B39" s="25"/>
      <c r="C39" s="26"/>
      <c r="D39" s="26"/>
      <c r="E39" s="26"/>
      <c r="F39" s="26"/>
      <c r="G39" s="46"/>
      <c r="H39" s="46"/>
      <c r="I39" s="46">
        <v>92</v>
      </c>
      <c r="J39" s="46">
        <v>220</v>
      </c>
      <c r="K39" s="46">
        <v>210.5</v>
      </c>
      <c r="L39" s="50">
        <v>381.2</v>
      </c>
      <c r="M39" s="56"/>
      <c r="N39" s="39">
        <f t="shared" si="0"/>
        <v>903.7</v>
      </c>
      <c r="O39" s="47"/>
      <c r="P39" s="15"/>
      <c r="Q39" s="13"/>
    </row>
    <row r="40" spans="1:17">
      <c r="A40" s="31" t="s">
        <v>46</v>
      </c>
      <c r="B40" s="25"/>
      <c r="C40" s="26"/>
      <c r="D40" s="26"/>
      <c r="E40" s="26"/>
      <c r="F40" s="26"/>
      <c r="G40" s="52"/>
      <c r="H40" s="52"/>
      <c r="I40" s="52"/>
      <c r="J40" s="52"/>
      <c r="K40" s="52"/>
      <c r="L40" s="52"/>
      <c r="M40" s="56">
        <v>179.76</v>
      </c>
      <c r="N40" s="39"/>
      <c r="O40" s="47"/>
      <c r="P40" s="15"/>
      <c r="Q40" s="13"/>
    </row>
    <row r="41" spans="1:17" ht="26.25" customHeight="1">
      <c r="A41" s="30"/>
      <c r="B41" s="24">
        <v>2009</v>
      </c>
      <c r="C41" s="24">
        <v>2010</v>
      </c>
      <c r="D41" s="24">
        <v>2011</v>
      </c>
      <c r="E41" s="24">
        <v>2012</v>
      </c>
      <c r="F41" s="24">
        <v>2013</v>
      </c>
      <c r="G41" s="24">
        <v>2014</v>
      </c>
      <c r="H41" s="24">
        <v>2015</v>
      </c>
      <c r="I41" s="24">
        <v>2016</v>
      </c>
      <c r="J41" s="24">
        <v>2017</v>
      </c>
      <c r="K41" s="24">
        <v>2018</v>
      </c>
      <c r="L41" s="48">
        <v>2019</v>
      </c>
      <c r="M41" s="83">
        <v>2020</v>
      </c>
      <c r="N41" s="39">
        <f t="shared" si="0"/>
        <v>24174</v>
      </c>
      <c r="O41" s="10"/>
      <c r="P41" s="15"/>
      <c r="Q41" s="13"/>
    </row>
    <row r="42" spans="1:17" hidden="1">
      <c r="A42" s="31"/>
      <c r="B42" s="25"/>
      <c r="C42" s="26"/>
      <c r="D42" s="26"/>
      <c r="E42" s="26"/>
      <c r="F42" s="26"/>
      <c r="G42" s="27"/>
      <c r="H42" s="27"/>
      <c r="I42" s="27"/>
      <c r="J42" s="27"/>
      <c r="K42" s="27"/>
      <c r="L42" s="50"/>
      <c r="M42" s="56"/>
      <c r="N42" s="39">
        <f t="shared" si="0"/>
        <v>0</v>
      </c>
      <c r="O42" s="17"/>
      <c r="P42" s="15"/>
      <c r="Q42" s="13"/>
    </row>
    <row r="43" spans="1:17" s="8" customFormat="1" ht="25.5">
      <c r="A43" s="30" t="s">
        <v>32</v>
      </c>
      <c r="B43" s="25"/>
      <c r="C43" s="26"/>
      <c r="D43" s="26"/>
      <c r="E43" s="26">
        <v>70</v>
      </c>
      <c r="F43" s="26"/>
      <c r="G43" s="27"/>
      <c r="H43" s="27"/>
      <c r="I43" s="27">
        <v>11.3</v>
      </c>
      <c r="J43" s="27">
        <f>150+10+46.6</f>
        <v>206.6</v>
      </c>
      <c r="K43" s="27">
        <v>188.7</v>
      </c>
      <c r="L43" s="50">
        <v>144.5</v>
      </c>
      <c r="M43" s="56">
        <v>198.34100000000001</v>
      </c>
      <c r="N43" s="39">
        <f t="shared" si="0"/>
        <v>819.44099999999992</v>
      </c>
      <c r="O43" s="18"/>
      <c r="P43" s="19"/>
      <c r="Q43" s="7"/>
    </row>
    <row r="44" spans="1:17" s="8" customFormat="1" ht="25.5">
      <c r="A44" s="30" t="s">
        <v>48</v>
      </c>
      <c r="B44" s="25"/>
      <c r="C44" s="26"/>
      <c r="D44" s="26"/>
      <c r="E44" s="26">
        <v>12.8</v>
      </c>
      <c r="F44" s="26">
        <f>10.9+8.2+7.7</f>
        <v>26.8</v>
      </c>
      <c r="G44" s="27">
        <f>22+25.6</f>
        <v>47.6</v>
      </c>
      <c r="H44" s="27">
        <f>9.4+2.9</f>
        <v>12.3</v>
      </c>
      <c r="I44" s="27">
        <f>59.8+7.9</f>
        <v>67.7</v>
      </c>
      <c r="J44" s="27">
        <f>222.1+4.4</f>
        <v>226.5</v>
      </c>
      <c r="K44" s="27">
        <f>367.4</f>
        <v>367.4</v>
      </c>
      <c r="L44" s="50">
        <v>499.4</v>
      </c>
      <c r="M44" s="56">
        <v>254.23599999999999</v>
      </c>
      <c r="N44" s="39">
        <f t="shared" si="0"/>
        <v>1514.7359999999999</v>
      </c>
      <c r="O44" s="18"/>
      <c r="P44" s="19"/>
      <c r="Q44" s="7"/>
    </row>
    <row r="45" spans="1:17" ht="24" customHeight="1">
      <c r="A45" s="30" t="s">
        <v>0</v>
      </c>
      <c r="B45" s="25"/>
      <c r="C45" s="26"/>
      <c r="D45" s="26"/>
      <c r="E45" s="26"/>
      <c r="F45" s="26"/>
      <c r="G45" s="27">
        <v>338.6</v>
      </c>
      <c r="H45" s="27">
        <v>1727.2</v>
      </c>
      <c r="I45" s="27">
        <v>3779.6</v>
      </c>
      <c r="J45" s="27">
        <v>6144.2</v>
      </c>
      <c r="K45" s="27">
        <f>K46+225.9+280.7</f>
        <v>6694.5999999999995</v>
      </c>
      <c r="L45" s="50">
        <v>8069.4</v>
      </c>
      <c r="M45" s="56">
        <v>9375.9770000000008</v>
      </c>
      <c r="N45" s="39">
        <f t="shared" si="0"/>
        <v>36129.576999999997</v>
      </c>
      <c r="O45" s="10" t="e">
        <f>O46+#REF!+#REF!+#REF!+#REF!+#REF!</f>
        <v>#REF!</v>
      </c>
      <c r="P45" s="11"/>
      <c r="Q45" s="6"/>
    </row>
    <row r="46" spans="1:17">
      <c r="A46" s="31" t="s">
        <v>29</v>
      </c>
      <c r="B46" s="25"/>
      <c r="C46" s="26"/>
      <c r="D46" s="26"/>
      <c r="E46" s="26"/>
      <c r="F46" s="26"/>
      <c r="G46" s="27">
        <v>338.6</v>
      </c>
      <c r="H46" s="27">
        <v>1374.2</v>
      </c>
      <c r="I46" s="27">
        <f>318.2+2393.9</f>
        <v>2712.1</v>
      </c>
      <c r="J46" s="27">
        <v>5564.2</v>
      </c>
      <c r="K46" s="27">
        <v>6188</v>
      </c>
      <c r="L46" s="50">
        <v>7667.3</v>
      </c>
      <c r="M46" s="56">
        <v>9016.1350000000002</v>
      </c>
      <c r="N46" s="39">
        <f t="shared" si="0"/>
        <v>32860.534999999996</v>
      </c>
      <c r="O46" s="17"/>
      <c r="P46" s="15"/>
      <c r="Q46" s="13"/>
    </row>
    <row r="47" spans="1:17" ht="41.25" customHeight="1">
      <c r="A47" s="30" t="s">
        <v>28</v>
      </c>
      <c r="B47" s="25">
        <v>529.1</v>
      </c>
      <c r="C47" s="26">
        <v>529.1</v>
      </c>
      <c r="D47" s="26"/>
      <c r="E47" s="26">
        <f>6.8+97.8</f>
        <v>104.6</v>
      </c>
      <c r="F47" s="26">
        <v>296.39999999999998</v>
      </c>
      <c r="G47" s="27">
        <v>243.3</v>
      </c>
      <c r="H47" s="27">
        <v>489.5</v>
      </c>
      <c r="I47" s="27"/>
      <c r="J47" s="27"/>
      <c r="K47" s="27">
        <f>48+6+29.6+14.4+18+2.9</f>
        <v>118.9</v>
      </c>
      <c r="L47" s="50">
        <v>0</v>
      </c>
      <c r="M47" s="56"/>
      <c r="N47" s="39">
        <f t="shared" si="0"/>
        <v>2310.9</v>
      </c>
      <c r="O47" s="18"/>
      <c r="P47" s="19"/>
      <c r="Q47" s="7"/>
    </row>
    <row r="48" spans="1:17" ht="28.5" customHeight="1">
      <c r="A48" s="30" t="s">
        <v>27</v>
      </c>
      <c r="B48" s="25">
        <v>105.9</v>
      </c>
      <c r="C48" s="26">
        <v>120.6</v>
      </c>
      <c r="D48" s="26"/>
      <c r="E48" s="26">
        <v>19.399999999999999</v>
      </c>
      <c r="F48" s="26">
        <v>125.7</v>
      </c>
      <c r="G48" s="27">
        <v>338.6</v>
      </c>
      <c r="H48" s="27">
        <v>244.3</v>
      </c>
      <c r="I48" s="27">
        <v>300.8</v>
      </c>
      <c r="J48" s="27">
        <v>407.3</v>
      </c>
      <c r="K48" s="27">
        <v>515.6</v>
      </c>
      <c r="L48" s="50">
        <v>652.79999999999995</v>
      </c>
      <c r="M48" s="56">
        <v>712.33</v>
      </c>
      <c r="N48" s="39">
        <f t="shared" si="0"/>
        <v>3543.33</v>
      </c>
      <c r="O48" s="18"/>
      <c r="P48" s="19"/>
      <c r="Q48" s="7"/>
    </row>
    <row r="49" spans="1:17" ht="25.5">
      <c r="A49" s="30" t="s">
        <v>34</v>
      </c>
      <c r="B49" s="25"/>
      <c r="C49" s="26"/>
      <c r="D49" s="26"/>
      <c r="E49" s="26"/>
      <c r="F49" s="26"/>
      <c r="G49" s="27"/>
      <c r="H49" s="27"/>
      <c r="I49" s="27">
        <v>30</v>
      </c>
      <c r="J49" s="27">
        <v>71.2</v>
      </c>
      <c r="K49" s="27">
        <v>98.6</v>
      </c>
      <c r="L49" s="50">
        <v>152.9</v>
      </c>
      <c r="M49" s="56">
        <v>175.86500000000001</v>
      </c>
      <c r="N49" s="39">
        <f t="shared" si="0"/>
        <v>528.56500000000005</v>
      </c>
      <c r="O49" s="19"/>
      <c r="P49" s="19"/>
      <c r="Q49" s="7"/>
    </row>
    <row r="50" spans="1:17" ht="25.5">
      <c r="A50" s="30" t="s">
        <v>38</v>
      </c>
      <c r="B50" s="25"/>
      <c r="C50" s="26"/>
      <c r="D50" s="26"/>
      <c r="E50" s="26"/>
      <c r="F50" s="26"/>
      <c r="G50" s="27"/>
      <c r="H50" s="27">
        <v>5.3</v>
      </c>
      <c r="I50" s="27"/>
      <c r="J50" s="27">
        <v>103.4</v>
      </c>
      <c r="K50" s="27">
        <f>190+21.9+24.5</f>
        <v>236.4</v>
      </c>
      <c r="L50" s="50">
        <v>311.3</v>
      </c>
      <c r="M50" s="56"/>
      <c r="N50" s="39">
        <f t="shared" si="0"/>
        <v>656.40000000000009</v>
      </c>
      <c r="O50" s="19"/>
      <c r="P50" s="19"/>
      <c r="Q50" s="7"/>
    </row>
    <row r="51" spans="1:17">
      <c r="A51" s="30" t="s">
        <v>35</v>
      </c>
      <c r="B51" s="25"/>
      <c r="C51" s="26"/>
      <c r="D51" s="26"/>
      <c r="E51" s="26"/>
      <c r="F51" s="26">
        <f>22</f>
        <v>22</v>
      </c>
      <c r="G51" s="27">
        <f>17.3+10.8+26.8+22.9+1+3.8+7.9</f>
        <v>90.500000000000014</v>
      </c>
      <c r="H51" s="27">
        <f>27.1+11.4+13.6+16.5+1.5+12.5+19.1+6.7</f>
        <v>108.39999999999999</v>
      </c>
      <c r="I51" s="27">
        <f>19.4+27.2+18.5+9.3</f>
        <v>74.399999999999991</v>
      </c>
      <c r="J51" s="27">
        <f>45+5.6+47.3</f>
        <v>97.9</v>
      </c>
      <c r="K51" s="27">
        <f>53.2+53.5</f>
        <v>106.7</v>
      </c>
      <c r="L51" s="50">
        <v>133.30000000000001</v>
      </c>
      <c r="M51" s="56">
        <v>35.951999999999998</v>
      </c>
      <c r="N51" s="39">
        <f t="shared" si="0"/>
        <v>669.15200000000004</v>
      </c>
      <c r="O51" s="19"/>
      <c r="P51" s="19"/>
      <c r="Q51" s="7"/>
    </row>
    <row r="52" spans="1:17">
      <c r="A52" s="30" t="s">
        <v>36</v>
      </c>
      <c r="B52" s="26">
        <f>B4-B5-B6-B7-B8-B35-B47-B48</f>
        <v>823.09999999999991</v>
      </c>
      <c r="C52" s="26">
        <f>C4-C5-C6-C7-C8-C12-C35-C37-C47-C48</f>
        <v>708</v>
      </c>
      <c r="D52" s="26">
        <f>D4-D5-D6-D8-D9-D12-D35</f>
        <v>803.99999999999932</v>
      </c>
      <c r="E52" s="26">
        <f>E4-E5-E6-E7-E8-E9-E12-E31-E35-E36-E43-E44-E47-E48</f>
        <v>257.1999999999997</v>
      </c>
      <c r="F52" s="26">
        <f>F4-F5-F6-F8-F9-F10-F12-F31-F35-F36-F44-F45-F47-F48-F51</f>
        <v>53.800000000000509</v>
      </c>
      <c r="G52" s="27">
        <f>G4-G5-G6-G7-G9-G12-G31-G44-G45-G47-G48-G51</f>
        <v>108.5000000000001</v>
      </c>
      <c r="H52" s="27">
        <f>H4-H5-H6-H7-H8-H9-H10-H12-H31-H32-H35-H36-H37-H44-H45-H47-H48-H50-H51</f>
        <v>373.70000000000095</v>
      </c>
      <c r="I52" s="27">
        <v>128.19999999999999</v>
      </c>
      <c r="J52" s="27">
        <v>206.6</v>
      </c>
      <c r="K52" s="27">
        <v>446.7</v>
      </c>
      <c r="L52" s="50">
        <f>L4-L5-L9-L10-L12-L31-L34-L35-L36-L37-L38-L43-L44-L45-L48-L49-L50-L51</f>
        <v>1267.2520000000015</v>
      </c>
      <c r="M52" s="53">
        <f>M4-M5-M9-M10-M12-M31-M34-M35-M36-M37-M38-M43-M44-M45-M48-M49-M50-M51</f>
        <v>1339.3970000000036</v>
      </c>
      <c r="N52" s="39">
        <f t="shared" si="0"/>
        <v>6516.449000000006</v>
      </c>
      <c r="O52" s="19"/>
      <c r="P52" s="19"/>
      <c r="Q52" s="7"/>
    </row>
    <row r="53" spans="1:17">
      <c r="A53" s="32"/>
      <c r="B53" s="1"/>
      <c r="C53" s="2"/>
      <c r="D53" s="3"/>
      <c r="E53" s="3"/>
      <c r="F53" s="3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7" ht="43.5" customHeight="1">
      <c r="A54" s="36"/>
      <c r="B54" s="37"/>
      <c r="C54" s="69" t="s">
        <v>43</v>
      </c>
      <c r="D54" s="69"/>
      <c r="E54" s="69"/>
      <c r="F54" s="69"/>
      <c r="G54" s="70"/>
      <c r="H54" s="76" t="s">
        <v>20</v>
      </c>
      <c r="I54" s="69"/>
      <c r="J54" s="77"/>
      <c r="K54" s="78"/>
      <c r="L54" s="7"/>
      <c r="M54" s="7"/>
      <c r="N54" s="7"/>
      <c r="O54" s="7"/>
      <c r="P54" s="13"/>
    </row>
    <row r="55" spans="1:17">
      <c r="A55" s="33"/>
      <c r="B55" s="20"/>
      <c r="C55" s="60" t="s">
        <v>41</v>
      </c>
      <c r="D55" s="61"/>
      <c r="E55" s="71" t="s">
        <v>42</v>
      </c>
      <c r="F55" s="72"/>
      <c r="G55" s="73"/>
      <c r="H55" s="79" t="s">
        <v>21</v>
      </c>
      <c r="I55" s="80"/>
      <c r="J55" s="79" t="s">
        <v>22</v>
      </c>
      <c r="K55" s="79"/>
      <c r="L55" s="7"/>
      <c r="M55" s="7"/>
      <c r="N55" s="7"/>
      <c r="O55" s="7"/>
    </row>
    <row r="56" spans="1:17">
      <c r="A56" s="34"/>
      <c r="B56" s="21"/>
      <c r="C56" s="58">
        <v>2009</v>
      </c>
      <c r="D56" s="59"/>
      <c r="E56" s="62">
        <v>3229.2</v>
      </c>
      <c r="F56" s="63"/>
      <c r="G56" s="64"/>
      <c r="H56" s="74"/>
      <c r="I56" s="75"/>
      <c r="J56" s="81"/>
      <c r="K56" s="81"/>
      <c r="L56" s="13"/>
      <c r="M56" s="13"/>
    </row>
    <row r="57" spans="1:17">
      <c r="A57" s="34"/>
      <c r="B57" s="21"/>
      <c r="C57" s="58">
        <v>2010</v>
      </c>
      <c r="D57" s="59"/>
      <c r="E57" s="62">
        <v>4116.5</v>
      </c>
      <c r="F57" s="63"/>
      <c r="G57" s="64"/>
      <c r="H57" s="62">
        <f t="shared" ref="H57:H65" si="4">E57-E56</f>
        <v>887.30000000000018</v>
      </c>
      <c r="I57" s="64"/>
      <c r="J57" s="82">
        <f t="shared" ref="J57:J65" si="5">E57/E56*100</f>
        <v>127.47739378174161</v>
      </c>
      <c r="K57" s="82"/>
      <c r="L57" s="13"/>
      <c r="M57" s="13"/>
    </row>
    <row r="58" spans="1:17">
      <c r="A58" s="34"/>
      <c r="B58" s="21"/>
      <c r="C58" s="58">
        <v>2011</v>
      </c>
      <c r="D58" s="59"/>
      <c r="E58" s="62">
        <v>4536.2</v>
      </c>
      <c r="F58" s="63"/>
      <c r="G58" s="64"/>
      <c r="H58" s="62">
        <f t="shared" si="4"/>
        <v>419.69999999999982</v>
      </c>
      <c r="I58" s="64"/>
      <c r="J58" s="82">
        <f t="shared" si="5"/>
        <v>110.19555447588971</v>
      </c>
      <c r="K58" s="82"/>
      <c r="L58" s="13"/>
      <c r="M58" s="13"/>
    </row>
    <row r="59" spans="1:17">
      <c r="A59" s="34"/>
      <c r="B59" s="21"/>
      <c r="C59" s="58">
        <v>2012</v>
      </c>
      <c r="D59" s="59"/>
      <c r="E59" s="62">
        <v>4168.2</v>
      </c>
      <c r="F59" s="63"/>
      <c r="G59" s="64"/>
      <c r="H59" s="62">
        <f t="shared" si="4"/>
        <v>-368</v>
      </c>
      <c r="I59" s="64"/>
      <c r="J59" s="82">
        <f t="shared" si="5"/>
        <v>91.887482915215372</v>
      </c>
      <c r="K59" s="82"/>
      <c r="L59" s="13"/>
      <c r="M59" s="13"/>
    </row>
    <row r="60" spans="1:17">
      <c r="A60" s="34"/>
      <c r="B60" s="21"/>
      <c r="C60" s="58">
        <v>2013</v>
      </c>
      <c r="D60" s="59"/>
      <c r="E60" s="62">
        <v>4178.6000000000004</v>
      </c>
      <c r="F60" s="63"/>
      <c r="G60" s="64"/>
      <c r="H60" s="62">
        <f t="shared" si="4"/>
        <v>10.400000000000546</v>
      </c>
      <c r="I60" s="64"/>
      <c r="J60" s="82">
        <f t="shared" si="5"/>
        <v>100.24950818098941</v>
      </c>
      <c r="K60" s="82"/>
      <c r="L60" s="13"/>
      <c r="M60" s="13"/>
    </row>
    <row r="61" spans="1:17">
      <c r="A61" s="34"/>
      <c r="B61" s="21"/>
      <c r="C61" s="58">
        <v>2014</v>
      </c>
      <c r="D61" s="59"/>
      <c r="E61" s="62">
        <v>3444.7</v>
      </c>
      <c r="F61" s="63"/>
      <c r="G61" s="64"/>
      <c r="H61" s="62">
        <f t="shared" si="4"/>
        <v>-733.90000000000055</v>
      </c>
      <c r="I61" s="64"/>
      <c r="J61" s="82">
        <f t="shared" si="5"/>
        <v>82.436701287512548</v>
      </c>
      <c r="K61" s="82"/>
      <c r="L61" s="13"/>
      <c r="M61" s="13"/>
    </row>
    <row r="62" spans="1:17">
      <c r="A62" s="34"/>
      <c r="B62" s="21"/>
      <c r="C62" s="58">
        <v>2015</v>
      </c>
      <c r="D62" s="59"/>
      <c r="E62" s="62">
        <v>8469.7000000000007</v>
      </c>
      <c r="F62" s="63"/>
      <c r="G62" s="64"/>
      <c r="H62" s="62">
        <f t="shared" si="4"/>
        <v>5025.0000000000009</v>
      </c>
      <c r="I62" s="64"/>
      <c r="J62" s="82">
        <f t="shared" si="5"/>
        <v>245.87627369582262</v>
      </c>
      <c r="K62" s="82"/>
      <c r="L62" s="13"/>
      <c r="M62" s="13"/>
    </row>
    <row r="63" spans="1:17">
      <c r="A63" s="34"/>
      <c r="B63" s="21"/>
      <c r="C63" s="58">
        <v>2016</v>
      </c>
      <c r="D63" s="59"/>
      <c r="E63" s="62">
        <v>10271.799999999999</v>
      </c>
      <c r="F63" s="63"/>
      <c r="G63" s="64"/>
      <c r="H63" s="62">
        <f t="shared" si="4"/>
        <v>1802.0999999999985</v>
      </c>
      <c r="I63" s="64"/>
      <c r="J63" s="82">
        <f t="shared" si="5"/>
        <v>121.27702279891848</v>
      </c>
      <c r="K63" s="82"/>
      <c r="L63" s="13"/>
      <c r="M63" s="13"/>
    </row>
    <row r="64" spans="1:17">
      <c r="A64" s="34"/>
      <c r="B64" s="21"/>
      <c r="C64" s="58">
        <v>2017</v>
      </c>
      <c r="D64" s="59"/>
      <c r="E64" s="62">
        <v>18360.5</v>
      </c>
      <c r="F64" s="63"/>
      <c r="G64" s="64"/>
      <c r="H64" s="62">
        <f t="shared" si="4"/>
        <v>8088.7000000000007</v>
      </c>
      <c r="I64" s="64"/>
      <c r="J64" s="82">
        <f t="shared" si="5"/>
        <v>178.74666562822486</v>
      </c>
      <c r="K64" s="82"/>
      <c r="L64" s="13"/>
      <c r="M64" s="13"/>
    </row>
    <row r="65" spans="1:14">
      <c r="A65" s="34"/>
      <c r="B65" s="21"/>
      <c r="C65" s="58">
        <v>2018</v>
      </c>
      <c r="D65" s="59"/>
      <c r="E65" s="62">
        <v>21105.1</v>
      </c>
      <c r="F65" s="63"/>
      <c r="G65" s="64"/>
      <c r="H65" s="62">
        <f t="shared" si="4"/>
        <v>2744.5999999999985</v>
      </c>
      <c r="I65" s="64"/>
      <c r="J65" s="82">
        <f t="shared" si="5"/>
        <v>114.94839465156177</v>
      </c>
      <c r="K65" s="82"/>
      <c r="L65" s="13"/>
      <c r="M65" s="13"/>
    </row>
    <row r="66" spans="1:14">
      <c r="A66" s="34"/>
      <c r="B66" s="21"/>
      <c r="C66" s="58">
        <v>2019</v>
      </c>
      <c r="D66" s="59"/>
      <c r="E66" s="62">
        <v>24783.8</v>
      </c>
      <c r="F66" s="63"/>
      <c r="G66" s="64"/>
      <c r="H66" s="62">
        <f t="shared" ref="H66" si="6">E66-E65</f>
        <v>3678.7000000000007</v>
      </c>
      <c r="I66" s="64"/>
      <c r="J66" s="82">
        <f>E66/E65*100</f>
        <v>117.43038412516407</v>
      </c>
      <c r="K66" s="82"/>
      <c r="L66" s="13"/>
      <c r="M66" s="13"/>
    </row>
    <row r="67" spans="1:14">
      <c r="A67" s="34"/>
      <c r="B67" s="51"/>
      <c r="C67" s="58">
        <v>2020</v>
      </c>
      <c r="D67" s="59"/>
      <c r="E67" s="62">
        <f>M4</f>
        <v>25938.752</v>
      </c>
      <c r="F67" s="63"/>
      <c r="G67" s="64"/>
      <c r="H67" s="62">
        <f>E67-E66</f>
        <v>1154.9520000000011</v>
      </c>
      <c r="I67" s="64"/>
      <c r="J67" s="62">
        <f>E67/E66*100</f>
        <v>104.66010861934005</v>
      </c>
      <c r="K67" s="64"/>
      <c r="L67" s="13"/>
      <c r="M67" s="13"/>
    </row>
    <row r="68" spans="1:14">
      <c r="B68" s="65" t="s">
        <v>52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70" spans="1:14">
      <c r="B70" s="66" t="s">
        <v>47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</sheetData>
  <mergeCells count="58">
    <mergeCell ref="J59:K59"/>
    <mergeCell ref="J60:K60"/>
    <mergeCell ref="J61:K61"/>
    <mergeCell ref="J62:K62"/>
    <mergeCell ref="C67:D67"/>
    <mergeCell ref="E67:G67"/>
    <mergeCell ref="H67:I67"/>
    <mergeCell ref="J67:K67"/>
    <mergeCell ref="J63:K63"/>
    <mergeCell ref="J64:K64"/>
    <mergeCell ref="J65:K65"/>
    <mergeCell ref="J66:K66"/>
    <mergeCell ref="E60:G60"/>
    <mergeCell ref="E61:G61"/>
    <mergeCell ref="E62:G62"/>
    <mergeCell ref="E63:G63"/>
    <mergeCell ref="H56:I56"/>
    <mergeCell ref="H57:I57"/>
    <mergeCell ref="H58:I58"/>
    <mergeCell ref="H54:K54"/>
    <mergeCell ref="H55:I55"/>
    <mergeCell ref="J55:K55"/>
    <mergeCell ref="J56:K56"/>
    <mergeCell ref="J57:K57"/>
    <mergeCell ref="J58:K58"/>
    <mergeCell ref="A2:N2"/>
    <mergeCell ref="A1:N1"/>
    <mergeCell ref="H64:I64"/>
    <mergeCell ref="H65:I65"/>
    <mergeCell ref="H66:I66"/>
    <mergeCell ref="H59:I59"/>
    <mergeCell ref="H60:I60"/>
    <mergeCell ref="H61:I61"/>
    <mergeCell ref="H62:I62"/>
    <mergeCell ref="H63:I63"/>
    <mergeCell ref="C54:G54"/>
    <mergeCell ref="E55:G55"/>
    <mergeCell ref="E56:G56"/>
    <mergeCell ref="E57:G57"/>
    <mergeCell ref="E58:G58"/>
    <mergeCell ref="E59:G59"/>
    <mergeCell ref="E64:G64"/>
    <mergeCell ref="B68:N68"/>
    <mergeCell ref="B70:N70"/>
    <mergeCell ref="E65:G65"/>
    <mergeCell ref="E66:G66"/>
    <mergeCell ref="C65:D65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</mergeCells>
  <pageMargins left="0.39370078740157483" right="0.19685039370078741" top="0.19685039370078741" bottom="0.15748031496062992" header="0.19685039370078741" footer="0.15748031496062992"/>
  <pageSetup paperSize="9" scale="8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Finvid8</cp:lastModifiedBy>
  <cp:lastPrinted>2020-09-02T06:22:51Z</cp:lastPrinted>
  <dcterms:created xsi:type="dcterms:W3CDTF">2016-07-27T09:01:26Z</dcterms:created>
  <dcterms:modified xsi:type="dcterms:W3CDTF">2021-02-16T13:19:20Z</dcterms:modified>
</cp:coreProperties>
</file>